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/>
  <mc:AlternateContent xmlns:mc="http://schemas.openxmlformats.org/markup-compatibility/2006">
    <mc:Choice Requires="x15">
      <x15ac:absPath xmlns:x15ac="http://schemas.microsoft.com/office/spreadsheetml/2010/11/ac" url="C:\Users\chinm\Downloads\"/>
    </mc:Choice>
  </mc:AlternateContent>
  <xr:revisionPtr revIDLastSave="0" documentId="13_ncr:1_{1DC1FB11-B173-4366-9152-095A9536876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definedNames>
    <definedName name="Yea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5" i="1" l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D36" i="1"/>
  <c r="K28" i="1"/>
  <c r="F28" i="1"/>
  <c r="E28" i="1"/>
  <c r="D28" i="1"/>
  <c r="K26" i="1"/>
  <c r="F26" i="1"/>
  <c r="E26" i="1"/>
  <c r="D26" i="1"/>
  <c r="K24" i="1"/>
  <c r="K30" i="1" s="1"/>
  <c r="F24" i="1"/>
  <c r="E24" i="1"/>
  <c r="K22" i="1"/>
  <c r="F22" i="1"/>
  <c r="E22" i="1"/>
  <c r="D22" i="1"/>
  <c r="K20" i="1"/>
  <c r="F20" i="1"/>
  <c r="F30" i="1" s="1"/>
  <c r="E20" i="1"/>
  <c r="D20" i="1"/>
  <c r="D30" i="1" s="1"/>
  <c r="G8" i="1"/>
  <c r="C83" i="1" s="1"/>
  <c r="D83" i="1" s="1"/>
  <c r="C39" i="1" l="1"/>
  <c r="D39" i="1" s="1"/>
  <c r="C43" i="1"/>
  <c r="D43" i="1" s="1"/>
  <c r="C47" i="1"/>
  <c r="D47" i="1" s="1"/>
  <c r="C51" i="1"/>
  <c r="D51" i="1" s="1"/>
  <c r="C55" i="1"/>
  <c r="D55" i="1" s="1"/>
  <c r="C59" i="1"/>
  <c r="D59" i="1" s="1"/>
  <c r="C63" i="1"/>
  <c r="D63" i="1" s="1"/>
  <c r="C67" i="1"/>
  <c r="D67" i="1" s="1"/>
  <c r="C71" i="1"/>
  <c r="D71" i="1" s="1"/>
  <c r="C75" i="1"/>
  <c r="D75" i="1" s="1"/>
  <c r="C79" i="1"/>
  <c r="D79" i="1" s="1"/>
  <c r="C85" i="1"/>
  <c r="D85" i="1" s="1"/>
  <c r="C81" i="1"/>
  <c r="D81" i="1" s="1"/>
  <c r="C77" i="1"/>
  <c r="D77" i="1" s="1"/>
  <c r="C73" i="1"/>
  <c r="D73" i="1" s="1"/>
  <c r="C69" i="1"/>
  <c r="D69" i="1" s="1"/>
  <c r="C65" i="1"/>
  <c r="D65" i="1" s="1"/>
  <c r="C61" i="1"/>
  <c r="D61" i="1" s="1"/>
  <c r="C57" i="1"/>
  <c r="D57" i="1" s="1"/>
  <c r="C53" i="1"/>
  <c r="D53" i="1" s="1"/>
  <c r="C49" i="1"/>
  <c r="D49" i="1" s="1"/>
  <c r="C45" i="1"/>
  <c r="D45" i="1" s="1"/>
  <c r="C41" i="1"/>
  <c r="D41" i="1" s="1"/>
  <c r="C37" i="1"/>
  <c r="D37" i="1" s="1"/>
  <c r="C84" i="1"/>
  <c r="D84" i="1" s="1"/>
  <c r="C80" i="1"/>
  <c r="D80" i="1" s="1"/>
  <c r="C68" i="1"/>
  <c r="D68" i="1" s="1"/>
  <c r="C64" i="1"/>
  <c r="D64" i="1" s="1"/>
  <c r="C60" i="1"/>
  <c r="D60" i="1" s="1"/>
  <c r="C40" i="1"/>
  <c r="D40" i="1" s="1"/>
  <c r="C82" i="1"/>
  <c r="D82" i="1" s="1"/>
  <c r="C78" i="1"/>
  <c r="D78" i="1" s="1"/>
  <c r="C74" i="1"/>
  <c r="D74" i="1" s="1"/>
  <c r="C70" i="1"/>
  <c r="D70" i="1" s="1"/>
  <c r="C66" i="1"/>
  <c r="D66" i="1" s="1"/>
  <c r="C62" i="1"/>
  <c r="D62" i="1" s="1"/>
  <c r="C58" i="1"/>
  <c r="D58" i="1" s="1"/>
  <c r="C54" i="1"/>
  <c r="D54" i="1" s="1"/>
  <c r="C50" i="1"/>
  <c r="D50" i="1" s="1"/>
  <c r="C46" i="1"/>
  <c r="D46" i="1" s="1"/>
  <c r="C42" i="1"/>
  <c r="D42" i="1" s="1"/>
  <c r="C38" i="1"/>
  <c r="D38" i="1" s="1"/>
  <c r="C76" i="1"/>
  <c r="D76" i="1" s="1"/>
  <c r="C72" i="1"/>
  <c r="D72" i="1" s="1"/>
  <c r="C56" i="1"/>
  <c r="D56" i="1" s="1"/>
  <c r="C52" i="1"/>
  <c r="D52" i="1" s="1"/>
  <c r="C48" i="1"/>
  <c r="D48" i="1" s="1"/>
  <c r="C44" i="1"/>
  <c r="D44" i="1" s="1"/>
  <c r="I20" i="1"/>
  <c r="E30" i="1"/>
  <c r="G20" i="1"/>
  <c r="H20" i="1" s="1"/>
  <c r="I22" i="1" l="1"/>
  <c r="J20" i="1"/>
  <c r="G22" i="1"/>
  <c r="H22" i="1" l="1"/>
  <c r="G24" i="1"/>
  <c r="I24" i="1"/>
  <c r="J22" i="1"/>
  <c r="J24" i="1" l="1"/>
  <c r="I26" i="1"/>
  <c r="H24" i="1"/>
  <c r="G26" i="1"/>
  <c r="H26" i="1" l="1"/>
  <c r="G28" i="1"/>
  <c r="J26" i="1"/>
  <c r="I28" i="1"/>
  <c r="C32" i="1" l="1"/>
  <c r="I30" i="1"/>
  <c r="J28" i="1"/>
  <c r="J30" i="1" s="1"/>
  <c r="C33" i="1" s="1"/>
  <c r="H28" i="1"/>
  <c r="G30" i="1"/>
  <c r="H30" i="1"/>
  <c r="F32" i="1" l="1"/>
  <c r="F37" i="1" s="1"/>
  <c r="G37" i="1" l="1"/>
  <c r="F38" i="1" s="1"/>
  <c r="G38" i="1" l="1"/>
  <c r="F39" i="1" s="1"/>
  <c r="G39" i="1" l="1"/>
  <c r="F40" i="1" s="1"/>
  <c r="G40" i="1" l="1"/>
  <c r="F41" i="1" s="1"/>
  <c r="G41" i="1" l="1"/>
  <c r="F42" i="1" s="1"/>
  <c r="G42" i="1" l="1"/>
  <c r="F43" i="1" s="1"/>
  <c r="G43" i="1" l="1"/>
  <c r="F44" i="1" s="1"/>
  <c r="G44" i="1" l="1"/>
  <c r="F45" i="1" s="1"/>
  <c r="G45" i="1" l="1"/>
  <c r="F46" i="1" s="1"/>
  <c r="G46" i="1" l="1"/>
  <c r="F47" i="1" s="1"/>
  <c r="G47" i="1" l="1"/>
  <c r="F48" i="1"/>
  <c r="G48" i="1" l="1"/>
  <c r="F49" i="1"/>
  <c r="G49" i="1" l="1"/>
  <c r="F50" i="1" s="1"/>
  <c r="G50" i="1" l="1"/>
  <c r="F51" i="1" s="1"/>
  <c r="G51" i="1" l="1"/>
  <c r="F52" i="1"/>
  <c r="G52" i="1" l="1"/>
  <c r="F53" i="1"/>
  <c r="G53" i="1" l="1"/>
  <c r="F54" i="1" s="1"/>
  <c r="G54" i="1" l="1"/>
  <c r="F55" i="1" s="1"/>
  <c r="G55" i="1" l="1"/>
  <c r="F56" i="1"/>
  <c r="G56" i="1" l="1"/>
  <c r="F57" i="1"/>
  <c r="G57" i="1" l="1"/>
  <c r="F58" i="1" s="1"/>
  <c r="G58" i="1" l="1"/>
  <c r="F59" i="1" s="1"/>
  <c r="G59" i="1" l="1"/>
  <c r="F60" i="1"/>
  <c r="G60" i="1" l="1"/>
  <c r="F61" i="1" s="1"/>
  <c r="G61" i="1" l="1"/>
  <c r="F62" i="1" s="1"/>
  <c r="G62" i="1" l="1"/>
  <c r="F63" i="1" s="1"/>
  <c r="G63" i="1" l="1"/>
  <c r="F64" i="1"/>
  <c r="G64" i="1" l="1"/>
  <c r="F65" i="1" s="1"/>
  <c r="G65" i="1" l="1"/>
  <c r="F66" i="1" s="1"/>
  <c r="G66" i="1" l="1"/>
  <c r="F67" i="1" s="1"/>
  <c r="G67" i="1" l="1"/>
  <c r="F68" i="1"/>
  <c r="G68" i="1" l="1"/>
  <c r="F69" i="1" s="1"/>
  <c r="G69" i="1" l="1"/>
  <c r="F70" i="1" s="1"/>
  <c r="G70" i="1" l="1"/>
  <c r="F71" i="1" s="1"/>
  <c r="G71" i="1" l="1"/>
  <c r="F72" i="1"/>
  <c r="G72" i="1" l="1"/>
  <c r="F73" i="1"/>
  <c r="G73" i="1" l="1"/>
  <c r="F74" i="1" s="1"/>
  <c r="C13" i="1" a="1"/>
  <c r="C13" i="1" s="1"/>
  <c r="G74" i="1" l="1"/>
  <c r="F75" i="1" s="1"/>
  <c r="G75" i="1" l="1"/>
  <c r="F76" i="1"/>
  <c r="G76" i="1" l="1"/>
  <c r="F77" i="1" s="1"/>
  <c r="F78" i="1" l="1"/>
  <c r="G77" i="1"/>
  <c r="G78" i="1" l="1"/>
  <c r="F79" i="1" s="1"/>
  <c r="G79" i="1" l="1"/>
  <c r="F80" i="1"/>
  <c r="G80" i="1" l="1"/>
  <c r="F81" i="1" s="1"/>
  <c r="G81" i="1" l="1"/>
  <c r="F82" i="1" s="1"/>
  <c r="G82" i="1" l="1"/>
  <c r="F83" i="1" s="1"/>
  <c r="G83" i="1" l="1"/>
  <c r="F84" i="1"/>
  <c r="G84" i="1" l="1"/>
  <c r="F85" i="1" s="1"/>
  <c r="G85" i="1" s="1"/>
</calcChain>
</file>

<file path=xl/sharedStrings.xml><?xml version="1.0" encoding="utf-8"?>
<sst xmlns="http://schemas.openxmlformats.org/spreadsheetml/2006/main" count="43" uniqueCount="37">
  <si>
    <t>Variables</t>
  </si>
  <si>
    <t>Cost of living per year (I-20)</t>
  </si>
  <si>
    <t>Income per month (campus job)</t>
  </si>
  <si>
    <t>Interest</t>
  </si>
  <si>
    <t>Cost of living per year during master's (Estimated)</t>
  </si>
  <si>
    <t>Income per month (internship)</t>
  </si>
  <si>
    <t>Income tax</t>
  </si>
  <si>
    <t>Cost of living per year after master's (Estimated)</t>
  </si>
  <si>
    <t>Income per year (TA/RA)</t>
  </si>
  <si>
    <t>Income per year (Job)</t>
  </si>
  <si>
    <t>TA acquired in 1st year (Yes/No)</t>
  </si>
  <si>
    <t>Yes</t>
  </si>
  <si>
    <t>Tuition for term</t>
  </si>
  <si>
    <t>Income per month (Job)</t>
  </si>
  <si>
    <t>TA acquired in 2nd year (Yes/No)</t>
  </si>
  <si>
    <t>No</t>
  </si>
  <si>
    <t>Tuition for term with TA/RA</t>
  </si>
  <si>
    <t>Amount received</t>
  </si>
  <si>
    <t>Cumulative loan amount</t>
  </si>
  <si>
    <t>Cumulative loan amount (with repayment)</t>
  </si>
  <si>
    <t>Living expenses</t>
  </si>
  <si>
    <t>Loan</t>
  </si>
  <si>
    <t>Income</t>
  </si>
  <si>
    <t>Tuition</t>
  </si>
  <si>
    <t>Living (I-20)</t>
  </si>
  <si>
    <t>1st year 2021-22</t>
  </si>
  <si>
    <t>Fall</t>
  </si>
  <si>
    <t>Spring</t>
  </si>
  <si>
    <t>Summer</t>
  </si>
  <si>
    <t>2nd year 2022-23</t>
  </si>
  <si>
    <t>Final loan amount</t>
  </si>
  <si>
    <t>Grand total repayment amount</t>
  </si>
  <si>
    <t>Final interest amount</t>
  </si>
  <si>
    <t>Repayment upon completion of the course</t>
  </si>
  <si>
    <t>Month</t>
  </si>
  <si>
    <t>Living expense</t>
  </si>
  <si>
    <t>Remaining loan amount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</si>
</sst>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#,##0"/>
    <numFmt numFmtId="165" formatCode="yyyy&quot; &quot;mmmm"/>
    <numFmt numFmtId="166" formatCode="yyyy&quot;-&quot;mmmm&quot;-&quot;"/>
  </numFmts>
  <fonts count="7" x14ac:knownFonts="1">
    <font>
      <sz val="10"/>
      <color rgb="FF000000"/>
      <name val="Arial"/>
    </font>
    <font>
      <b/>
      <sz val="10"/>
      <color theme="1"/>
      <name val="Arial"/>
    </font>
    <font>
      <b/>
      <sz val="18"/>
      <color theme="1"/>
      <name val="Arial"/>
    </font>
    <font>
      <sz val="10"/>
      <name val="Arial"/>
    </font>
    <font>
      <sz val="10"/>
      <color theme="1"/>
      <name val="Arial"/>
    </font>
    <font>
      <sz val="18"/>
      <color theme="1"/>
      <name val="Arial"/>
    </font>
    <font>
      <b/>
      <sz val="14"/>
      <color theme="1"/>
      <name val="Arial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double">
        <color rgb="FFE06666"/>
      </left>
      <right/>
      <top style="double">
        <color rgb="FFE06666"/>
      </top>
      <bottom style="double">
        <color rgb="FFE06666"/>
      </bottom>
      <diagonal/>
    </border>
    <border>
      <left/>
      <right/>
      <top style="double">
        <color rgb="FFE06666"/>
      </top>
      <bottom style="double">
        <color rgb="FFE06666"/>
      </bottom>
      <diagonal/>
    </border>
    <border>
      <left/>
      <right style="double">
        <color rgb="FFE06666"/>
      </right>
      <top style="double">
        <color rgb="FFE06666"/>
      </top>
      <bottom style="double">
        <color rgb="FFE06666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61">
    <xf numFmtId="0" fontId="0" fillId="0" borderId="0" xfId="0" applyFont="1" applyAlignment="1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164" fontId="4" fillId="0" borderId="3" xfId="0" applyNumberFormat="1" applyFont="1" applyBorder="1" applyAlignment="1">
      <alignment vertical="center"/>
    </xf>
    <xf numFmtId="0" fontId="4" fillId="0" borderId="2" xfId="0" applyFont="1" applyBorder="1" applyAlignment="1">
      <alignment vertical="center"/>
    </xf>
    <xf numFmtId="10" fontId="4" fillId="0" borderId="3" xfId="0" applyNumberFormat="1" applyFont="1" applyBorder="1" applyAlignment="1">
      <alignment vertical="center"/>
    </xf>
    <xf numFmtId="0" fontId="4" fillId="0" borderId="4" xfId="0" applyFont="1" applyBorder="1" applyAlignment="1">
      <alignment vertical="center" wrapText="1"/>
    </xf>
    <xf numFmtId="164" fontId="4" fillId="0" borderId="5" xfId="0" applyNumberFormat="1" applyFont="1" applyBorder="1" applyAlignment="1">
      <alignment vertical="center"/>
    </xf>
    <xf numFmtId="0" fontId="4" fillId="0" borderId="6" xfId="0" applyFont="1" applyBorder="1" applyAlignment="1">
      <alignment vertical="center"/>
    </xf>
    <xf numFmtId="9" fontId="4" fillId="0" borderId="7" xfId="0" applyNumberFormat="1" applyFont="1" applyBorder="1" applyAlignment="1">
      <alignment vertical="center"/>
    </xf>
    <xf numFmtId="0" fontId="4" fillId="0" borderId="6" xfId="0" applyFont="1" applyBorder="1" applyAlignment="1">
      <alignment vertical="center" wrapText="1"/>
    </xf>
    <xf numFmtId="164" fontId="4" fillId="0" borderId="7" xfId="0" applyNumberFormat="1" applyFont="1" applyBorder="1" applyAlignment="1">
      <alignment vertical="center"/>
    </xf>
    <xf numFmtId="164" fontId="4" fillId="0" borderId="2" xfId="0" applyNumberFormat="1" applyFont="1" applyBorder="1" applyAlignment="1">
      <alignment vertical="center" wrapText="1"/>
    </xf>
    <xf numFmtId="49" fontId="4" fillId="0" borderId="3" xfId="0" applyNumberFormat="1" applyFont="1" applyBorder="1" applyAlignment="1">
      <alignment vertical="center"/>
    </xf>
    <xf numFmtId="164" fontId="4" fillId="0" borderId="0" xfId="0" applyNumberFormat="1" applyFont="1" applyAlignment="1">
      <alignment vertical="center"/>
    </xf>
    <xf numFmtId="164" fontId="4" fillId="0" borderId="6" xfId="0" applyNumberFormat="1" applyFont="1" applyBorder="1" applyAlignment="1">
      <alignment vertical="center" wrapText="1"/>
    </xf>
    <xf numFmtId="49" fontId="4" fillId="0" borderId="7" xfId="0" applyNumberFormat="1" applyFont="1" applyBorder="1" applyAlignment="1">
      <alignment vertical="center"/>
    </xf>
    <xf numFmtId="164" fontId="4" fillId="0" borderId="0" xfId="0" applyNumberFormat="1" applyFont="1" applyAlignment="1"/>
    <xf numFmtId="0" fontId="4" fillId="0" borderId="15" xfId="0" applyFont="1" applyBorder="1" applyAlignment="1">
      <alignment horizontal="center" wrapText="1"/>
    </xf>
    <xf numFmtId="0" fontId="4" fillId="0" borderId="17" xfId="0" applyFont="1" applyBorder="1"/>
    <xf numFmtId="0" fontId="4" fillId="0" borderId="18" xfId="0" applyFont="1" applyBorder="1"/>
    <xf numFmtId="164" fontId="4" fillId="0" borderId="0" xfId="0" applyNumberFormat="1" applyFont="1"/>
    <xf numFmtId="0" fontId="4" fillId="0" borderId="19" xfId="0" applyFont="1" applyBorder="1"/>
    <xf numFmtId="0" fontId="4" fillId="0" borderId="20" xfId="0" applyFont="1" applyBorder="1"/>
    <xf numFmtId="0" fontId="4" fillId="0" borderId="20" xfId="0" applyFont="1" applyBorder="1" applyAlignment="1"/>
    <xf numFmtId="164" fontId="4" fillId="0" borderId="19" xfId="0" applyNumberFormat="1" applyFont="1" applyBorder="1"/>
    <xf numFmtId="164" fontId="4" fillId="0" borderId="20" xfId="0" applyNumberFormat="1" applyFont="1" applyBorder="1"/>
    <xf numFmtId="0" fontId="4" fillId="0" borderId="21" xfId="0" applyFont="1" applyBorder="1"/>
    <xf numFmtId="0" fontId="4" fillId="0" borderId="22" xfId="0" applyFont="1" applyBorder="1"/>
    <xf numFmtId="164" fontId="1" fillId="0" borderId="15" xfId="0" applyNumberFormat="1" applyFont="1" applyBorder="1"/>
    <xf numFmtId="0" fontId="4" fillId="0" borderId="0" xfId="0" applyFont="1" applyAlignment="1"/>
    <xf numFmtId="0" fontId="6" fillId="0" borderId="19" xfId="0" applyFont="1" applyBorder="1" applyAlignment="1">
      <alignment horizontal="center" vertical="center"/>
    </xf>
    <xf numFmtId="164" fontId="1" fillId="0" borderId="15" xfId="0" applyNumberFormat="1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65" fontId="4" fillId="0" borderId="14" xfId="0" applyNumberFormat="1" applyFont="1" applyBorder="1" applyAlignment="1">
      <alignment horizontal="left"/>
    </xf>
    <xf numFmtId="166" fontId="4" fillId="0" borderId="0" xfId="0" applyNumberFormat="1" applyFont="1" applyAlignment="1"/>
    <xf numFmtId="165" fontId="4" fillId="0" borderId="16" xfId="0" applyNumberFormat="1" applyFont="1" applyBorder="1" applyAlignment="1">
      <alignment horizontal="left"/>
    </xf>
    <xf numFmtId="164" fontId="4" fillId="0" borderId="23" xfId="0" applyNumberFormat="1" applyFont="1" applyBorder="1"/>
    <xf numFmtId="164" fontId="4" fillId="0" borderId="22" xfId="0" applyNumberFormat="1" applyFont="1" applyBorder="1"/>
    <xf numFmtId="164" fontId="4" fillId="0" borderId="24" xfId="0" applyNumberFormat="1" applyFont="1" applyBorder="1"/>
    <xf numFmtId="164" fontId="4" fillId="0" borderId="18" xfId="0" applyNumberFormat="1" applyFont="1" applyBorder="1"/>
    <xf numFmtId="0" fontId="4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4" fillId="0" borderId="13" xfId="0" applyFont="1" applyBorder="1" applyAlignment="1">
      <alignment horizontal="center" vertical="center" wrapText="1"/>
    </xf>
    <xf numFmtId="0" fontId="3" fillId="0" borderId="14" xfId="0" applyFont="1" applyBorder="1"/>
    <xf numFmtId="0" fontId="3" fillId="0" borderId="16" xfId="0" applyFont="1" applyBorder="1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/>
    <xf numFmtId="164" fontId="5" fillId="0" borderId="8" xfId="0" applyNumberFormat="1" applyFont="1" applyBorder="1" applyAlignment="1">
      <alignment horizontal="center"/>
    </xf>
    <xf numFmtId="0" fontId="3" fillId="0" borderId="9" xfId="0" applyFont="1" applyBorder="1"/>
    <xf numFmtId="0" fontId="3" fillId="0" borderId="10" xfId="0" applyFont="1" applyBorder="1"/>
    <xf numFmtId="0" fontId="4" fillId="0" borderId="11" xfId="0" applyFont="1" applyBorder="1" applyAlignment="1">
      <alignment horizontal="center" wrapText="1"/>
    </xf>
    <xf numFmtId="0" fontId="3" fillId="0" borderId="12" xfId="0" applyFont="1" applyBorder="1"/>
    <xf numFmtId="0" fontId="4" fillId="0" borderId="19" xfId="0" applyFont="1" applyBorder="1" applyAlignment="1">
      <alignment horizontal="center" vertical="center"/>
    </xf>
    <xf numFmtId="0" fontId="3" fillId="0" borderId="19" xfId="0" applyFont="1" applyBorder="1"/>
    <xf numFmtId="0" fontId="4" fillId="0" borderId="0" xfId="0" applyFont="1" applyAlignment="1">
      <alignment horizontal="center" vertical="center" wrapText="1"/>
    </xf>
    <xf numFmtId="0" fontId="0" fillId="0" borderId="0" xfId="0" applyFont="1" applyAlignment="1"/>
    <xf numFmtId="0" fontId="6" fillId="0" borderId="11" xfId="0" applyFont="1" applyBorder="1" applyAlignment="1">
      <alignment horizontal="center" vertical="center"/>
    </xf>
  </cellXfs>
  <cellStyles count="1">
    <cellStyle name="Normal" xfId="0" builtinId="0"/>
  </cellStyles>
  <dxfs count="3">
    <dxf>
      <fill>
        <patternFill patternType="solid">
          <fgColor rgb="FFF4CCCC"/>
          <bgColor rgb="FFF4CCCC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4CCCC"/>
          <bgColor rgb="FFF4CC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2:O89"/>
  <sheetViews>
    <sheetView tabSelected="1" topLeftCell="A16" workbookViewId="0">
      <selection activeCell="H37" sqref="H37"/>
    </sheetView>
  </sheetViews>
  <sheetFormatPr defaultColWidth="14.44140625" defaultRowHeight="15.75" customHeight="1" x14ac:dyDescent="0.25"/>
  <cols>
    <col min="1" max="1" width="18.5546875" customWidth="1"/>
    <col min="2" max="2" width="19.109375" customWidth="1"/>
    <col min="4" max="4" width="14.33203125" customWidth="1"/>
    <col min="5" max="5" width="12.109375" customWidth="1"/>
    <col min="6" max="6" width="13.6640625" customWidth="1"/>
    <col min="7" max="7" width="12.44140625" customWidth="1"/>
    <col min="8" max="8" width="12.109375" customWidth="1"/>
    <col min="9" max="9" width="12.44140625" customWidth="1"/>
    <col min="10" max="10" width="11.33203125" customWidth="1"/>
    <col min="11" max="11" width="12.44140625" customWidth="1"/>
    <col min="14" max="14" width="16.6640625" customWidth="1"/>
  </cols>
  <sheetData>
    <row r="2" spans="2:11" ht="22.8" x14ac:dyDescent="0.25">
      <c r="B2" s="1"/>
      <c r="C2" s="49" t="s">
        <v>0</v>
      </c>
      <c r="D2" s="50"/>
      <c r="E2" s="50"/>
      <c r="F2" s="50"/>
      <c r="G2" s="50"/>
      <c r="H2" s="50"/>
      <c r="I2" s="50"/>
      <c r="J2" s="50"/>
      <c r="K2" s="2"/>
    </row>
    <row r="3" spans="2:11" ht="19.5" customHeight="1" x14ac:dyDescent="0.25"/>
    <row r="4" spans="2:11" ht="41.25" customHeight="1" x14ac:dyDescent="0.25">
      <c r="C4" s="3" t="s">
        <v>1</v>
      </c>
      <c r="D4" s="4">
        <v>19502</v>
      </c>
      <c r="F4" s="3" t="s">
        <v>2</v>
      </c>
      <c r="G4" s="4">
        <v>720</v>
      </c>
      <c r="I4" s="5" t="s">
        <v>3</v>
      </c>
      <c r="J4" s="6">
        <v>4.2500000000000003E-2</v>
      </c>
    </row>
    <row r="5" spans="2:11" ht="52.8" x14ac:dyDescent="0.25">
      <c r="C5" s="7" t="s">
        <v>4</v>
      </c>
      <c r="D5" s="8">
        <v>12000</v>
      </c>
      <c r="F5" s="7" t="s">
        <v>5</v>
      </c>
      <c r="G5" s="8">
        <v>1440</v>
      </c>
      <c r="I5" s="9" t="s">
        <v>6</v>
      </c>
      <c r="J5" s="10">
        <v>0.25</v>
      </c>
    </row>
    <row r="6" spans="2:11" ht="52.8" x14ac:dyDescent="0.25">
      <c r="C6" s="11" t="s">
        <v>7</v>
      </c>
      <c r="D6" s="12">
        <v>15000</v>
      </c>
      <c r="F6" s="7" t="s">
        <v>8</v>
      </c>
      <c r="G6" s="8">
        <v>17000</v>
      </c>
    </row>
    <row r="7" spans="2:11" ht="39.6" x14ac:dyDescent="0.25">
      <c r="F7" s="7" t="s">
        <v>9</v>
      </c>
      <c r="G7" s="8">
        <v>60000</v>
      </c>
      <c r="I7" s="13" t="s">
        <v>10</v>
      </c>
      <c r="J7" s="14" t="s">
        <v>11</v>
      </c>
    </row>
    <row r="8" spans="2:11" ht="44.25" customHeight="1" x14ac:dyDescent="0.25">
      <c r="C8" s="3" t="s">
        <v>12</v>
      </c>
      <c r="D8" s="4">
        <v>20358.919999999998</v>
      </c>
      <c r="E8" s="15"/>
      <c r="F8" s="11" t="s">
        <v>13</v>
      </c>
      <c r="G8" s="12">
        <f>G7/12</f>
        <v>5000</v>
      </c>
      <c r="I8" s="16" t="s">
        <v>14</v>
      </c>
      <c r="J8" s="17" t="s">
        <v>15</v>
      </c>
    </row>
    <row r="9" spans="2:11" ht="41.25" customHeight="1" x14ac:dyDescent="0.25">
      <c r="C9" s="16" t="s">
        <v>16</v>
      </c>
      <c r="D9" s="12">
        <v>6489.6</v>
      </c>
      <c r="E9" s="15"/>
      <c r="F9" s="15"/>
    </row>
    <row r="10" spans="2:11" ht="13.2" x14ac:dyDescent="0.25">
      <c r="D10" s="15"/>
      <c r="E10" s="15"/>
    </row>
    <row r="11" spans="2:11" ht="13.2" x14ac:dyDescent="0.25">
      <c r="D11" s="15"/>
      <c r="E11" s="15"/>
    </row>
    <row r="12" spans="2:11" ht="13.2" x14ac:dyDescent="0.25">
      <c r="D12" s="15"/>
      <c r="E12" s="15"/>
    </row>
    <row r="13" spans="2:11" ht="22.8" x14ac:dyDescent="0.4">
      <c r="C13" s="51" t="str">
        <f t="array" ref="C13">CONCATENATE("The loan will be repaid in ", TEXT(INDEX(B37:B1017,MATCH(0,F37:F73,-1)+1), "mmmm of yyy"))</f>
        <v>The loan will be repaid in November of 2024</v>
      </c>
      <c r="D13" s="52"/>
      <c r="E13" s="52"/>
      <c r="F13" s="52"/>
      <c r="G13" s="52"/>
      <c r="H13" s="52"/>
      <c r="I13" s="52"/>
      <c r="J13" s="52"/>
      <c r="K13" s="53"/>
    </row>
    <row r="14" spans="2:11" ht="13.2" x14ac:dyDescent="0.25">
      <c r="C14" s="18"/>
      <c r="D14" s="18"/>
      <c r="E14" s="18"/>
      <c r="F14" s="18"/>
      <c r="G14" s="18"/>
    </row>
    <row r="15" spans="2:11" ht="13.2" x14ac:dyDescent="0.25">
      <c r="C15" s="18"/>
      <c r="D15" s="18"/>
      <c r="E15" s="18"/>
      <c r="F15" s="18"/>
      <c r="G15" s="18"/>
    </row>
    <row r="16" spans="2:11" ht="13.2" x14ac:dyDescent="0.25">
      <c r="D16" s="54" t="s">
        <v>17</v>
      </c>
      <c r="E16" s="55"/>
      <c r="F16" s="55"/>
      <c r="G16" s="46" t="s">
        <v>18</v>
      </c>
      <c r="H16" s="46" t="s">
        <v>3</v>
      </c>
      <c r="I16" s="46" t="s">
        <v>19</v>
      </c>
      <c r="J16" s="46" t="s">
        <v>3</v>
      </c>
      <c r="K16" s="46" t="s">
        <v>20</v>
      </c>
    </row>
    <row r="17" spans="2:11" ht="13.2" x14ac:dyDescent="0.25">
      <c r="D17" s="54" t="s">
        <v>21</v>
      </c>
      <c r="E17" s="55"/>
      <c r="F17" s="46" t="s">
        <v>22</v>
      </c>
      <c r="G17" s="47"/>
      <c r="H17" s="47"/>
      <c r="I17" s="47"/>
      <c r="J17" s="47"/>
      <c r="K17" s="47"/>
    </row>
    <row r="18" spans="2:11" ht="13.2" x14ac:dyDescent="0.25">
      <c r="D18" s="19" t="s">
        <v>23</v>
      </c>
      <c r="E18" s="19" t="s">
        <v>24</v>
      </c>
      <c r="F18" s="48"/>
      <c r="G18" s="48"/>
      <c r="H18" s="48"/>
      <c r="I18" s="48"/>
      <c r="J18" s="48"/>
      <c r="K18" s="48"/>
    </row>
    <row r="19" spans="2:11" ht="13.2" x14ac:dyDescent="0.25">
      <c r="B19" s="20"/>
      <c r="C19" s="21"/>
      <c r="D19" s="22"/>
      <c r="E19" s="22"/>
      <c r="F19" s="22"/>
      <c r="G19" s="23"/>
      <c r="H19" s="24"/>
      <c r="J19" s="24"/>
      <c r="K19" s="24"/>
    </row>
    <row r="20" spans="2:11" ht="13.2" x14ac:dyDescent="0.25">
      <c r="B20" s="56" t="s">
        <v>25</v>
      </c>
      <c r="C20" s="25" t="s">
        <v>26</v>
      </c>
      <c r="D20" s="22">
        <f>IF($J$7 = "Yes",$D$9,$D$8)</f>
        <v>6489.6</v>
      </c>
      <c r="E20" s="22">
        <f>$D$4/12*5</f>
        <v>8125.8333333333339</v>
      </c>
      <c r="F20" s="22">
        <f>IF($J$7 = "Yes", $G$6 * 5/9, $G$4 * 5)</f>
        <v>9444.4444444444453</v>
      </c>
      <c r="G20" s="26">
        <f>D20+E20+G18</f>
        <v>14615.433333333334</v>
      </c>
      <c r="H20" s="27">
        <f>G20*$J$4/12*5</f>
        <v>258.81496527777779</v>
      </c>
      <c r="I20" s="22">
        <f>D20+I18+K20-F20</f>
        <v>2045.1555555555551</v>
      </c>
      <c r="J20" s="27">
        <f>I20*$J$4/12*5</f>
        <v>36.216296296296292</v>
      </c>
      <c r="K20" s="27">
        <f>$D$5/12*5</f>
        <v>5000</v>
      </c>
    </row>
    <row r="21" spans="2:11" ht="13.2" x14ac:dyDescent="0.25">
      <c r="B21" s="57"/>
      <c r="C21" s="24"/>
      <c r="D21" s="22"/>
      <c r="E21" s="22"/>
      <c r="F21" s="22"/>
      <c r="G21" s="23"/>
      <c r="H21" s="24"/>
      <c r="J21" s="24"/>
      <c r="K21" s="27"/>
    </row>
    <row r="22" spans="2:11" ht="13.2" x14ac:dyDescent="0.25">
      <c r="B22" s="57"/>
      <c r="C22" s="25" t="s">
        <v>27</v>
      </c>
      <c r="D22" s="22">
        <f>IF($J$7 = "Yes",$D$9,$D$8)</f>
        <v>6489.6</v>
      </c>
      <c r="E22" s="22">
        <f>$D$4/12*4</f>
        <v>6500.666666666667</v>
      </c>
      <c r="F22" s="22">
        <f>IF($J$7 = "Yes", $G$6 * 4/9, $G$4 * 4)</f>
        <v>7555.5555555555557</v>
      </c>
      <c r="G22" s="26">
        <f>D22+E22+G20</f>
        <v>27605.7</v>
      </c>
      <c r="H22" s="27">
        <f>G22*$J$4/12*4</f>
        <v>391.08075000000002</v>
      </c>
      <c r="I22" s="22">
        <f>D22+I20+K22-F22</f>
        <v>4979.2</v>
      </c>
      <c r="J22" s="27">
        <f>I22*$J$4/12*4</f>
        <v>70.538666666666671</v>
      </c>
      <c r="K22" s="27">
        <f>$D$5/12*4</f>
        <v>4000</v>
      </c>
    </row>
    <row r="23" spans="2:11" ht="13.2" x14ac:dyDescent="0.25">
      <c r="B23" s="57"/>
      <c r="C23" s="24"/>
      <c r="D23" s="22"/>
      <c r="E23" s="22"/>
      <c r="F23" s="22"/>
      <c r="G23" s="23"/>
      <c r="H23" s="24"/>
      <c r="J23" s="24"/>
      <c r="K23" s="27"/>
    </row>
    <row r="24" spans="2:11" ht="13.2" x14ac:dyDescent="0.25">
      <c r="B24" s="57"/>
      <c r="C24" s="25" t="s">
        <v>28</v>
      </c>
      <c r="D24" s="22"/>
      <c r="E24" s="22">
        <f>$D$4/12*3</f>
        <v>4875.5</v>
      </c>
      <c r="F24" s="22">
        <f>$G$5 * 3</f>
        <v>4320</v>
      </c>
      <c r="G24" s="26">
        <f>D24+E24+G22</f>
        <v>32481.200000000001</v>
      </c>
      <c r="H24" s="27">
        <f>G24*$J$4/12*3</f>
        <v>345.11275000000001</v>
      </c>
      <c r="I24" s="22">
        <f>D24+I22+K24-F24</f>
        <v>3659.2</v>
      </c>
      <c r="J24" s="27">
        <f>I24*$J$4/12*3</f>
        <v>38.878999999999998</v>
      </c>
      <c r="K24" s="27">
        <f>$D$5/12*3</f>
        <v>3000</v>
      </c>
    </row>
    <row r="25" spans="2:11" ht="13.2" x14ac:dyDescent="0.25">
      <c r="B25" s="23"/>
      <c r="C25" s="24"/>
      <c r="D25" s="22"/>
      <c r="E25" s="22"/>
      <c r="F25" s="22"/>
      <c r="G25" s="23"/>
      <c r="H25" s="24"/>
      <c r="J25" s="24"/>
      <c r="K25" s="27"/>
    </row>
    <row r="26" spans="2:11" ht="13.2" x14ac:dyDescent="0.25">
      <c r="B26" s="56" t="s">
        <v>29</v>
      </c>
      <c r="C26" s="25" t="s">
        <v>26</v>
      </c>
      <c r="D26" s="22">
        <f>IF($J$8 = "Yes",$D$9,$D$8)</f>
        <v>20358.919999999998</v>
      </c>
      <c r="E26" s="22">
        <f>$D$4/12*5</f>
        <v>8125.8333333333339</v>
      </c>
      <c r="F26" s="22">
        <f>IF($J$8 = "Yes", $G$6 * 5/9, $G$4 * 5)</f>
        <v>3600</v>
      </c>
      <c r="G26" s="26">
        <f>D26+E26+G24</f>
        <v>60965.953333333338</v>
      </c>
      <c r="H26" s="27">
        <f>G26*$J$4/12*5</f>
        <v>1079.6054236111113</v>
      </c>
      <c r="I26" s="22">
        <f>D26+I24+K26-F26</f>
        <v>25418.12</v>
      </c>
      <c r="J26" s="27">
        <f>I26*$J$4/12*5</f>
        <v>450.11254166666669</v>
      </c>
      <c r="K26" s="27">
        <f>$D$5/12*5</f>
        <v>5000</v>
      </c>
    </row>
    <row r="27" spans="2:11" ht="13.2" x14ac:dyDescent="0.25">
      <c r="B27" s="57"/>
      <c r="C27" s="24"/>
      <c r="D27" s="22"/>
      <c r="E27" s="22"/>
      <c r="F27" s="22"/>
      <c r="G27" s="23"/>
      <c r="H27" s="24"/>
      <c r="J27" s="24"/>
      <c r="K27" s="27"/>
    </row>
    <row r="28" spans="2:11" ht="13.2" x14ac:dyDescent="0.25">
      <c r="B28" s="57"/>
      <c r="C28" s="25" t="s">
        <v>27</v>
      </c>
      <c r="D28" s="22">
        <f>IF($J$8 = "Yes",$D$9,$D$8)</f>
        <v>20358.919999999998</v>
      </c>
      <c r="E28" s="22">
        <f>$D$4/12*4</f>
        <v>6500.666666666667</v>
      </c>
      <c r="F28" s="22">
        <f>IF($J$8 = "Yes", $G$6 * 4/9, $G$4 * 4)</f>
        <v>2880</v>
      </c>
      <c r="G28" s="26">
        <f>D28+E28+G26</f>
        <v>87825.540000000008</v>
      </c>
      <c r="H28" s="27">
        <f>G28*$J$4/12*4</f>
        <v>1244.1951500000002</v>
      </c>
      <c r="I28" s="22">
        <f>D28+I26+K28-F28</f>
        <v>46897.039999999994</v>
      </c>
      <c r="J28" s="27">
        <f>I28*$J$4/12*4</f>
        <v>664.37473333333332</v>
      </c>
      <c r="K28" s="27">
        <f>$D$5/12*4</f>
        <v>4000</v>
      </c>
    </row>
    <row r="29" spans="2:11" ht="13.2" x14ac:dyDescent="0.25">
      <c r="B29" s="28"/>
      <c r="C29" s="29"/>
      <c r="D29" s="22"/>
      <c r="E29" s="22"/>
      <c r="F29" s="22"/>
      <c r="G29" s="23"/>
      <c r="H29" s="24"/>
      <c r="J29" s="24"/>
      <c r="K29" s="27"/>
    </row>
    <row r="30" spans="2:11" ht="13.2" x14ac:dyDescent="0.25">
      <c r="D30" s="30">
        <f t="shared" ref="D30:F30" si="0">SUM(D20:D28)</f>
        <v>53697.039999999994</v>
      </c>
      <c r="E30" s="30">
        <f t="shared" si="0"/>
        <v>34128.5</v>
      </c>
      <c r="F30" s="30">
        <f t="shared" si="0"/>
        <v>27800</v>
      </c>
      <c r="G30" s="30">
        <f>G28</f>
        <v>87825.540000000008</v>
      </c>
      <c r="H30" s="30">
        <f>SUM(H20:H28)</f>
        <v>3318.8090388888895</v>
      </c>
      <c r="I30" s="30">
        <f>I28</f>
        <v>46897.039999999994</v>
      </c>
      <c r="J30" s="30">
        <f t="shared" ref="J30:K30" si="1">SUM(J20:J28)</f>
        <v>1260.1212379629628</v>
      </c>
      <c r="K30" s="30">
        <f t="shared" si="1"/>
        <v>21000</v>
      </c>
    </row>
    <row r="31" spans="2:11" ht="13.2" x14ac:dyDescent="0.25">
      <c r="D31" s="22"/>
      <c r="E31" s="22"/>
      <c r="F31" s="22"/>
      <c r="G31" s="22"/>
    </row>
    <row r="32" spans="2:11" ht="20.25" customHeight="1" x14ac:dyDescent="0.25">
      <c r="B32" s="31" t="s">
        <v>30</v>
      </c>
      <c r="C32" s="22">
        <f>I28</f>
        <v>46897.039999999994</v>
      </c>
      <c r="E32" s="58" t="s">
        <v>31</v>
      </c>
      <c r="F32" s="22">
        <f>C32+C33</f>
        <v>48157.161237962959</v>
      </c>
    </row>
    <row r="33" spans="2:11" ht="24" customHeight="1" x14ac:dyDescent="0.25">
      <c r="B33" s="31" t="s">
        <v>32</v>
      </c>
      <c r="C33" s="22">
        <f>J30</f>
        <v>1260.1212379629628</v>
      </c>
      <c r="E33" s="59"/>
    </row>
    <row r="34" spans="2:11" ht="13.2" x14ac:dyDescent="0.25">
      <c r="D34" s="22"/>
      <c r="E34" s="22"/>
      <c r="F34" s="22"/>
      <c r="G34" s="22"/>
    </row>
    <row r="35" spans="2:11" ht="27" customHeight="1" x14ac:dyDescent="0.25">
      <c r="B35" s="60" t="s">
        <v>33</v>
      </c>
      <c r="C35" s="55"/>
      <c r="D35" s="55"/>
      <c r="E35" s="55"/>
      <c r="F35" s="55"/>
      <c r="G35" s="55"/>
      <c r="H35" s="32"/>
    </row>
    <row r="36" spans="2:11" ht="26.4" x14ac:dyDescent="0.25">
      <c r="B36" s="33" t="s">
        <v>34</v>
      </c>
      <c r="C36" s="33" t="s">
        <v>22</v>
      </c>
      <c r="D36" s="34" t="str">
        <f>CONCATENATE("After ", $J$5*100, "% tax")</f>
        <v>After 25% tax</v>
      </c>
      <c r="E36" s="34" t="s">
        <v>35</v>
      </c>
      <c r="F36" s="34" t="s">
        <v>36</v>
      </c>
      <c r="G36" s="35" t="s">
        <v>3</v>
      </c>
      <c r="I36" s="36"/>
    </row>
    <row r="37" spans="2:11" ht="13.2" x14ac:dyDescent="0.25">
      <c r="B37" s="37">
        <v>45017</v>
      </c>
      <c r="C37" s="22">
        <f t="shared" ref="C37:C85" si="2">$G$8</f>
        <v>5000</v>
      </c>
      <c r="D37" s="22">
        <f t="shared" ref="D37:D85" si="3">C37*(1-$J$5)</f>
        <v>3750</v>
      </c>
      <c r="E37" s="27">
        <f t="shared" ref="E37:E85" si="4">$D$6/12</f>
        <v>1250</v>
      </c>
      <c r="F37" s="22">
        <f>F32+E37-D37</f>
        <v>45657.161237962959</v>
      </c>
      <c r="G37" s="27">
        <f>(F37*$J$4/12)</f>
        <v>161.70244605111881</v>
      </c>
      <c r="I37" s="22"/>
    </row>
    <row r="38" spans="2:11" ht="13.2" x14ac:dyDescent="0.25">
      <c r="B38" s="37">
        <v>45047</v>
      </c>
      <c r="C38" s="22">
        <f t="shared" si="2"/>
        <v>5000</v>
      </c>
      <c r="D38" s="22">
        <f t="shared" si="3"/>
        <v>3750</v>
      </c>
      <c r="E38" s="27">
        <f t="shared" si="4"/>
        <v>1250</v>
      </c>
      <c r="F38" s="22">
        <f t="shared" ref="F38:F85" si="5">F37+G37+E38-D38</f>
        <v>43318.863684014075</v>
      </c>
      <c r="G38" s="27">
        <f t="shared" ref="G38:G85" si="6">F38*$J$4/12</f>
        <v>153.42097554754986</v>
      </c>
      <c r="I38" s="22"/>
    </row>
    <row r="39" spans="2:11" ht="13.2" x14ac:dyDescent="0.25">
      <c r="B39" s="37">
        <v>45078</v>
      </c>
      <c r="C39" s="22">
        <f t="shared" si="2"/>
        <v>5000</v>
      </c>
      <c r="D39" s="22">
        <f t="shared" si="3"/>
        <v>3750</v>
      </c>
      <c r="E39" s="27">
        <f t="shared" si="4"/>
        <v>1250</v>
      </c>
      <c r="F39" s="22">
        <f t="shared" si="5"/>
        <v>40972.284659561628</v>
      </c>
      <c r="G39" s="27">
        <f t="shared" si="6"/>
        <v>145.11017483594745</v>
      </c>
      <c r="I39" s="22"/>
    </row>
    <row r="40" spans="2:11" ht="13.2" x14ac:dyDescent="0.25">
      <c r="B40" s="37">
        <v>45108</v>
      </c>
      <c r="C40" s="22">
        <f t="shared" si="2"/>
        <v>5000</v>
      </c>
      <c r="D40" s="22">
        <f t="shared" si="3"/>
        <v>3750</v>
      </c>
      <c r="E40" s="27">
        <f t="shared" si="4"/>
        <v>1250</v>
      </c>
      <c r="F40" s="22">
        <f t="shared" si="5"/>
        <v>38617.394834397579</v>
      </c>
      <c r="G40" s="27">
        <f t="shared" si="6"/>
        <v>136.76994003849143</v>
      </c>
      <c r="I40" s="22"/>
    </row>
    <row r="41" spans="2:11" ht="13.2" x14ac:dyDescent="0.25">
      <c r="B41" s="37">
        <v>45139</v>
      </c>
      <c r="C41" s="22">
        <f t="shared" si="2"/>
        <v>5000</v>
      </c>
      <c r="D41" s="22">
        <f t="shared" si="3"/>
        <v>3750</v>
      </c>
      <c r="E41" s="27">
        <f t="shared" si="4"/>
        <v>1250</v>
      </c>
      <c r="F41" s="22">
        <f t="shared" si="5"/>
        <v>36254.164774436067</v>
      </c>
      <c r="G41" s="27">
        <f t="shared" si="6"/>
        <v>128.40016690946109</v>
      </c>
      <c r="I41" s="22"/>
    </row>
    <row r="42" spans="2:11" ht="13.2" x14ac:dyDescent="0.25">
      <c r="B42" s="37">
        <v>45170</v>
      </c>
      <c r="C42" s="22">
        <f t="shared" si="2"/>
        <v>5000</v>
      </c>
      <c r="D42" s="22">
        <f t="shared" si="3"/>
        <v>3750</v>
      </c>
      <c r="E42" s="27">
        <f t="shared" si="4"/>
        <v>1250</v>
      </c>
      <c r="F42" s="22">
        <f t="shared" si="5"/>
        <v>33882.564941345525</v>
      </c>
      <c r="G42" s="27">
        <f t="shared" si="6"/>
        <v>120.00075083393209</v>
      </c>
      <c r="I42" s="22"/>
      <c r="K42" s="38"/>
    </row>
    <row r="43" spans="2:11" ht="13.2" x14ac:dyDescent="0.25">
      <c r="B43" s="37">
        <v>45200</v>
      </c>
      <c r="C43" s="22">
        <f t="shared" si="2"/>
        <v>5000</v>
      </c>
      <c r="D43" s="22">
        <f t="shared" si="3"/>
        <v>3750</v>
      </c>
      <c r="E43" s="27">
        <f t="shared" si="4"/>
        <v>1250</v>
      </c>
      <c r="F43" s="22">
        <f t="shared" si="5"/>
        <v>31502.565692179458</v>
      </c>
      <c r="G43" s="27">
        <f t="shared" si="6"/>
        <v>111.57158682646893</v>
      </c>
      <c r="I43" s="22"/>
    </row>
    <row r="44" spans="2:11" ht="13.2" x14ac:dyDescent="0.25">
      <c r="B44" s="37">
        <v>45231</v>
      </c>
      <c r="C44" s="22">
        <f t="shared" si="2"/>
        <v>5000</v>
      </c>
      <c r="D44" s="22">
        <f t="shared" si="3"/>
        <v>3750</v>
      </c>
      <c r="E44" s="27">
        <f t="shared" si="4"/>
        <v>1250</v>
      </c>
      <c r="F44" s="22">
        <f t="shared" si="5"/>
        <v>29114.137279005925</v>
      </c>
      <c r="G44" s="27">
        <f t="shared" si="6"/>
        <v>103.11256952981266</v>
      </c>
      <c r="I44" s="22"/>
    </row>
    <row r="45" spans="2:11" ht="13.2" x14ac:dyDescent="0.25">
      <c r="B45" s="39">
        <v>45261</v>
      </c>
      <c r="C45" s="40">
        <f t="shared" si="2"/>
        <v>5000</v>
      </c>
      <c r="D45" s="40">
        <f t="shared" si="3"/>
        <v>3750</v>
      </c>
      <c r="E45" s="41">
        <f t="shared" si="4"/>
        <v>1250</v>
      </c>
      <c r="F45" s="40">
        <f t="shared" si="5"/>
        <v>26717.249848535739</v>
      </c>
      <c r="G45" s="41">
        <f t="shared" si="6"/>
        <v>94.623593213564092</v>
      </c>
      <c r="I45" s="22"/>
    </row>
    <row r="46" spans="2:11" ht="13.2" x14ac:dyDescent="0.25">
      <c r="B46" s="37">
        <v>45292</v>
      </c>
      <c r="C46" s="42">
        <f t="shared" si="2"/>
        <v>5000</v>
      </c>
      <c r="D46" s="42">
        <f t="shared" si="3"/>
        <v>3750</v>
      </c>
      <c r="E46" s="27">
        <f t="shared" si="4"/>
        <v>1250</v>
      </c>
      <c r="F46" s="42">
        <f t="shared" si="5"/>
        <v>24311.873441749303</v>
      </c>
      <c r="G46" s="43">
        <f t="shared" si="6"/>
        <v>86.104551772862123</v>
      </c>
      <c r="I46" s="22"/>
    </row>
    <row r="47" spans="2:11" ht="13.2" x14ac:dyDescent="0.25">
      <c r="B47" s="37">
        <v>45323</v>
      </c>
      <c r="C47" s="22">
        <f t="shared" si="2"/>
        <v>5000</v>
      </c>
      <c r="D47" s="22">
        <f t="shared" si="3"/>
        <v>3750</v>
      </c>
      <c r="E47" s="27">
        <f t="shared" si="4"/>
        <v>1250</v>
      </c>
      <c r="F47" s="22">
        <f t="shared" si="5"/>
        <v>21897.977993522167</v>
      </c>
      <c r="G47" s="27">
        <f t="shared" si="6"/>
        <v>77.555338727057674</v>
      </c>
      <c r="I47" s="22"/>
    </row>
    <row r="48" spans="2:11" ht="13.2" x14ac:dyDescent="0.25">
      <c r="B48" s="37">
        <v>45352</v>
      </c>
      <c r="C48" s="22">
        <f t="shared" si="2"/>
        <v>5000</v>
      </c>
      <c r="D48" s="22">
        <f t="shared" si="3"/>
        <v>3750</v>
      </c>
      <c r="E48" s="27">
        <f t="shared" si="4"/>
        <v>1250</v>
      </c>
      <c r="F48" s="22">
        <f t="shared" si="5"/>
        <v>19475.533332249226</v>
      </c>
      <c r="G48" s="27">
        <f t="shared" si="6"/>
        <v>68.975847218382683</v>
      </c>
      <c r="I48" s="22"/>
    </row>
    <row r="49" spans="1:9" ht="13.2" x14ac:dyDescent="0.25">
      <c r="B49" s="37">
        <v>45383</v>
      </c>
      <c r="C49" s="22">
        <f t="shared" si="2"/>
        <v>5000</v>
      </c>
      <c r="D49" s="22">
        <f t="shared" si="3"/>
        <v>3750</v>
      </c>
      <c r="E49" s="27">
        <f t="shared" si="4"/>
        <v>1250</v>
      </c>
      <c r="F49" s="22">
        <f t="shared" si="5"/>
        <v>17044.509179467608</v>
      </c>
      <c r="G49" s="27">
        <f t="shared" si="6"/>
        <v>60.365970010614454</v>
      </c>
      <c r="I49" s="22"/>
    </row>
    <row r="50" spans="1:9" ht="13.2" x14ac:dyDescent="0.25">
      <c r="B50" s="37">
        <v>45413</v>
      </c>
      <c r="C50" s="22">
        <f t="shared" si="2"/>
        <v>5000</v>
      </c>
      <c r="D50" s="22">
        <f t="shared" si="3"/>
        <v>3750</v>
      </c>
      <c r="E50" s="27">
        <f t="shared" si="4"/>
        <v>1250</v>
      </c>
      <c r="F50" s="22">
        <f t="shared" si="5"/>
        <v>14604.875149478223</v>
      </c>
      <c r="G50" s="27">
        <f t="shared" si="6"/>
        <v>51.725599487735373</v>
      </c>
      <c r="I50" s="22"/>
    </row>
    <row r="51" spans="1:9" ht="13.2" x14ac:dyDescent="0.25">
      <c r="B51" s="37">
        <v>45444</v>
      </c>
      <c r="C51" s="22">
        <f t="shared" si="2"/>
        <v>5000</v>
      </c>
      <c r="D51" s="22">
        <f t="shared" si="3"/>
        <v>3750</v>
      </c>
      <c r="E51" s="27">
        <f t="shared" si="4"/>
        <v>1250</v>
      </c>
      <c r="F51" s="22">
        <f t="shared" si="5"/>
        <v>12156.600748965959</v>
      </c>
      <c r="G51" s="27">
        <f t="shared" si="6"/>
        <v>43.054627652587776</v>
      </c>
      <c r="I51" s="22"/>
    </row>
    <row r="52" spans="1:9" ht="13.2" x14ac:dyDescent="0.25">
      <c r="B52" s="37">
        <v>45474</v>
      </c>
      <c r="C52" s="22">
        <f t="shared" si="2"/>
        <v>5000</v>
      </c>
      <c r="D52" s="22">
        <f t="shared" si="3"/>
        <v>3750</v>
      </c>
      <c r="E52" s="27">
        <f t="shared" si="4"/>
        <v>1250</v>
      </c>
      <c r="F52" s="22">
        <f t="shared" si="5"/>
        <v>9699.6553766185461</v>
      </c>
      <c r="G52" s="27">
        <f t="shared" si="6"/>
        <v>34.352946125524021</v>
      </c>
      <c r="I52" s="22"/>
    </row>
    <row r="53" spans="1:9" ht="13.2" x14ac:dyDescent="0.25">
      <c r="B53" s="37">
        <v>45505</v>
      </c>
      <c r="C53" s="22">
        <f t="shared" si="2"/>
        <v>5000</v>
      </c>
      <c r="D53" s="22">
        <f t="shared" si="3"/>
        <v>3750</v>
      </c>
      <c r="E53" s="27">
        <f t="shared" si="4"/>
        <v>1250</v>
      </c>
      <c r="F53" s="22">
        <f t="shared" si="5"/>
        <v>7234.00832274407</v>
      </c>
      <c r="G53" s="27">
        <f t="shared" si="6"/>
        <v>25.620446143051918</v>
      </c>
      <c r="I53" s="22"/>
    </row>
    <row r="54" spans="1:9" ht="13.2" x14ac:dyDescent="0.25">
      <c r="B54" s="37">
        <v>45536</v>
      </c>
      <c r="C54" s="22">
        <f t="shared" si="2"/>
        <v>5000</v>
      </c>
      <c r="D54" s="22">
        <f t="shared" si="3"/>
        <v>3750</v>
      </c>
      <c r="E54" s="27">
        <f t="shared" si="4"/>
        <v>1250</v>
      </c>
      <c r="F54" s="22">
        <f t="shared" si="5"/>
        <v>4759.6287688871216</v>
      </c>
      <c r="G54" s="27">
        <f t="shared" si="6"/>
        <v>16.857018556475222</v>
      </c>
      <c r="I54" s="22"/>
    </row>
    <row r="55" spans="1:9" ht="13.2" x14ac:dyDescent="0.25">
      <c r="B55" s="37">
        <v>45566</v>
      </c>
      <c r="C55" s="22">
        <f t="shared" si="2"/>
        <v>5000</v>
      </c>
      <c r="D55" s="22">
        <f t="shared" si="3"/>
        <v>3750</v>
      </c>
      <c r="E55" s="27">
        <f t="shared" si="4"/>
        <v>1250</v>
      </c>
      <c r="F55" s="22">
        <f t="shared" si="5"/>
        <v>2276.4857874435966</v>
      </c>
      <c r="G55" s="27">
        <f t="shared" si="6"/>
        <v>8.0625538305294047</v>
      </c>
      <c r="I55" s="22"/>
    </row>
    <row r="56" spans="1:9" ht="13.2" x14ac:dyDescent="0.25">
      <c r="B56" s="37">
        <v>45597</v>
      </c>
      <c r="C56" s="22">
        <f t="shared" si="2"/>
        <v>5000</v>
      </c>
      <c r="D56" s="22">
        <f t="shared" si="3"/>
        <v>3750</v>
      </c>
      <c r="E56" s="27">
        <f t="shared" si="4"/>
        <v>1250</v>
      </c>
      <c r="F56" s="22">
        <f t="shared" si="5"/>
        <v>-215.45165872587404</v>
      </c>
      <c r="G56" s="27">
        <f t="shared" si="6"/>
        <v>-0.76305795798747056</v>
      </c>
      <c r="I56" s="22"/>
    </row>
    <row r="57" spans="1:9" ht="13.2" x14ac:dyDescent="0.25">
      <c r="A57" s="44"/>
      <c r="B57" s="39">
        <v>45627</v>
      </c>
      <c r="C57" s="40">
        <f t="shared" si="2"/>
        <v>5000</v>
      </c>
      <c r="D57" s="40">
        <f t="shared" si="3"/>
        <v>3750</v>
      </c>
      <c r="E57" s="41">
        <f t="shared" si="4"/>
        <v>1250</v>
      </c>
      <c r="F57" s="40">
        <f t="shared" si="5"/>
        <v>-2716.2147166838613</v>
      </c>
      <c r="G57" s="41">
        <f t="shared" si="6"/>
        <v>-9.6199271215886757</v>
      </c>
      <c r="I57" s="22"/>
    </row>
    <row r="58" spans="1:9" ht="13.2" x14ac:dyDescent="0.25">
      <c r="A58" s="45"/>
      <c r="B58" s="37">
        <v>45658</v>
      </c>
      <c r="C58" s="42">
        <f t="shared" si="2"/>
        <v>5000</v>
      </c>
      <c r="D58" s="42">
        <f t="shared" si="3"/>
        <v>3750</v>
      </c>
      <c r="E58" s="27">
        <f t="shared" si="4"/>
        <v>1250</v>
      </c>
      <c r="F58" s="42">
        <f t="shared" si="5"/>
        <v>-5225.8346438054505</v>
      </c>
      <c r="G58" s="43">
        <f t="shared" si="6"/>
        <v>-18.508164363477636</v>
      </c>
      <c r="I58" s="22"/>
    </row>
    <row r="59" spans="1:9" ht="13.2" x14ac:dyDescent="0.25">
      <c r="B59" s="37">
        <v>45689</v>
      </c>
      <c r="C59" s="22">
        <f t="shared" si="2"/>
        <v>5000</v>
      </c>
      <c r="D59" s="22">
        <f t="shared" si="3"/>
        <v>3750</v>
      </c>
      <c r="E59" s="27">
        <f t="shared" si="4"/>
        <v>1250</v>
      </c>
      <c r="F59" s="22">
        <f t="shared" si="5"/>
        <v>-7744.3428081689281</v>
      </c>
      <c r="G59" s="27">
        <f t="shared" si="6"/>
        <v>-27.427880778931623</v>
      </c>
      <c r="I59" s="22"/>
    </row>
    <row r="60" spans="1:9" ht="13.2" x14ac:dyDescent="0.25">
      <c r="B60" s="37">
        <v>45717</v>
      </c>
      <c r="C60" s="22">
        <f t="shared" si="2"/>
        <v>5000</v>
      </c>
      <c r="D60" s="22">
        <f t="shared" si="3"/>
        <v>3750</v>
      </c>
      <c r="E60" s="27">
        <f t="shared" si="4"/>
        <v>1250</v>
      </c>
      <c r="F60" s="22">
        <f t="shared" si="5"/>
        <v>-10271.77068894786</v>
      </c>
      <c r="G60" s="27">
        <f t="shared" si="6"/>
        <v>-36.379187856690336</v>
      </c>
      <c r="I60" s="22"/>
    </row>
    <row r="61" spans="1:9" ht="13.2" x14ac:dyDescent="0.25">
      <c r="B61" s="37">
        <v>45748</v>
      </c>
      <c r="C61" s="22">
        <f t="shared" si="2"/>
        <v>5000</v>
      </c>
      <c r="D61" s="22">
        <f t="shared" si="3"/>
        <v>3750</v>
      </c>
      <c r="E61" s="27">
        <f t="shared" si="4"/>
        <v>1250</v>
      </c>
      <c r="F61" s="22">
        <f t="shared" si="5"/>
        <v>-12808.149876804549</v>
      </c>
      <c r="G61" s="27">
        <f t="shared" si="6"/>
        <v>-45.362197480349444</v>
      </c>
      <c r="I61" s="22"/>
    </row>
    <row r="62" spans="1:9" ht="13.2" x14ac:dyDescent="0.25">
      <c r="B62" s="37">
        <v>45778</v>
      </c>
      <c r="C62" s="22">
        <f t="shared" si="2"/>
        <v>5000</v>
      </c>
      <c r="D62" s="22">
        <f t="shared" si="3"/>
        <v>3750</v>
      </c>
      <c r="E62" s="27">
        <f t="shared" si="4"/>
        <v>1250</v>
      </c>
      <c r="F62" s="22">
        <f t="shared" si="5"/>
        <v>-15353.512074284899</v>
      </c>
      <c r="G62" s="27">
        <f t="shared" si="6"/>
        <v>-54.377021929759024</v>
      </c>
      <c r="I62" s="22"/>
    </row>
    <row r="63" spans="1:9" ht="13.2" x14ac:dyDescent="0.25">
      <c r="B63" s="37">
        <v>45809</v>
      </c>
      <c r="C63" s="22">
        <f t="shared" si="2"/>
        <v>5000</v>
      </c>
      <c r="D63" s="22">
        <f t="shared" si="3"/>
        <v>3750</v>
      </c>
      <c r="E63" s="27">
        <f t="shared" si="4"/>
        <v>1250</v>
      </c>
      <c r="F63" s="22">
        <f t="shared" si="5"/>
        <v>-17907.889096214658</v>
      </c>
      <c r="G63" s="27">
        <f t="shared" si="6"/>
        <v>-63.423773882426921</v>
      </c>
      <c r="I63" s="22"/>
    </row>
    <row r="64" spans="1:9" ht="13.2" x14ac:dyDescent="0.25">
      <c r="B64" s="37">
        <v>45839</v>
      </c>
      <c r="C64" s="22">
        <f t="shared" si="2"/>
        <v>5000</v>
      </c>
      <c r="D64" s="22">
        <f t="shared" si="3"/>
        <v>3750</v>
      </c>
      <c r="E64" s="27">
        <f t="shared" si="4"/>
        <v>1250</v>
      </c>
      <c r="F64" s="22">
        <f t="shared" si="5"/>
        <v>-20471.312870097085</v>
      </c>
      <c r="G64" s="27">
        <f t="shared" si="6"/>
        <v>-72.502566414927188</v>
      </c>
      <c r="I64" s="22"/>
    </row>
    <row r="65" spans="2:15" ht="13.2" x14ac:dyDescent="0.25">
      <c r="B65" s="37">
        <v>45870</v>
      </c>
      <c r="C65" s="22">
        <f t="shared" si="2"/>
        <v>5000</v>
      </c>
      <c r="D65" s="22">
        <f t="shared" si="3"/>
        <v>3750</v>
      </c>
      <c r="E65" s="27">
        <f t="shared" si="4"/>
        <v>1250</v>
      </c>
      <c r="F65" s="22">
        <f t="shared" si="5"/>
        <v>-23043.815436512014</v>
      </c>
      <c r="G65" s="27">
        <f t="shared" si="6"/>
        <v>-81.61351300431339</v>
      </c>
      <c r="I65" s="22"/>
    </row>
    <row r="66" spans="2:15" ht="13.2" x14ac:dyDescent="0.25">
      <c r="B66" s="37">
        <v>45901</v>
      </c>
      <c r="C66" s="22">
        <f t="shared" si="2"/>
        <v>5000</v>
      </c>
      <c r="D66" s="22">
        <f t="shared" si="3"/>
        <v>3750</v>
      </c>
      <c r="E66" s="27">
        <f t="shared" si="4"/>
        <v>1250</v>
      </c>
      <c r="F66" s="22">
        <f t="shared" si="5"/>
        <v>-25625.428949516328</v>
      </c>
      <c r="G66" s="27">
        <f t="shared" si="6"/>
        <v>-90.756727529537002</v>
      </c>
    </row>
    <row r="67" spans="2:15" ht="13.2" x14ac:dyDescent="0.25">
      <c r="B67" s="37">
        <v>45931</v>
      </c>
      <c r="C67" s="22">
        <f t="shared" si="2"/>
        <v>5000</v>
      </c>
      <c r="D67" s="22">
        <f t="shared" si="3"/>
        <v>3750</v>
      </c>
      <c r="E67" s="27">
        <f t="shared" si="4"/>
        <v>1250</v>
      </c>
      <c r="F67" s="22">
        <f t="shared" si="5"/>
        <v>-28216.185677045865</v>
      </c>
      <c r="G67" s="27">
        <f t="shared" si="6"/>
        <v>-99.932324272870787</v>
      </c>
    </row>
    <row r="68" spans="2:15" ht="13.2" x14ac:dyDescent="0.25">
      <c r="B68" s="37">
        <v>45962</v>
      </c>
      <c r="C68" s="22">
        <f t="shared" si="2"/>
        <v>5000</v>
      </c>
      <c r="D68" s="22">
        <f t="shared" si="3"/>
        <v>3750</v>
      </c>
      <c r="E68" s="27">
        <f t="shared" si="4"/>
        <v>1250</v>
      </c>
      <c r="F68" s="22">
        <f t="shared" si="5"/>
        <v>-30816.118001318737</v>
      </c>
      <c r="G68" s="27">
        <f t="shared" si="6"/>
        <v>-109.1404179213372</v>
      </c>
    </row>
    <row r="69" spans="2:15" ht="13.2" x14ac:dyDescent="0.25">
      <c r="B69" s="39">
        <v>45992</v>
      </c>
      <c r="C69" s="40">
        <f t="shared" si="2"/>
        <v>5000</v>
      </c>
      <c r="D69" s="40">
        <f t="shared" si="3"/>
        <v>3750</v>
      </c>
      <c r="E69" s="41">
        <f t="shared" si="4"/>
        <v>1250</v>
      </c>
      <c r="F69" s="40">
        <f t="shared" si="5"/>
        <v>-33425.258419240075</v>
      </c>
      <c r="G69" s="41">
        <f t="shared" si="6"/>
        <v>-118.38112356814194</v>
      </c>
    </row>
    <row r="70" spans="2:15" ht="13.2" x14ac:dyDescent="0.25">
      <c r="B70" s="37">
        <v>46023</v>
      </c>
      <c r="C70" s="42">
        <f t="shared" si="2"/>
        <v>5000</v>
      </c>
      <c r="D70" s="42">
        <f t="shared" si="3"/>
        <v>3750</v>
      </c>
      <c r="E70" s="27">
        <f t="shared" si="4"/>
        <v>1250</v>
      </c>
      <c r="F70" s="42">
        <f t="shared" si="5"/>
        <v>-36043.639542808218</v>
      </c>
      <c r="G70" s="43">
        <f t="shared" si="6"/>
        <v>-127.65455671411245</v>
      </c>
    </row>
    <row r="71" spans="2:15" ht="13.2" x14ac:dyDescent="0.25">
      <c r="B71" s="37">
        <v>46054</v>
      </c>
      <c r="C71" s="22">
        <f t="shared" si="2"/>
        <v>5000</v>
      </c>
      <c r="D71" s="22">
        <f t="shared" si="3"/>
        <v>3750</v>
      </c>
      <c r="E71" s="27">
        <f t="shared" si="4"/>
        <v>1250</v>
      </c>
      <c r="F71" s="22">
        <f t="shared" si="5"/>
        <v>-38671.294099522333</v>
      </c>
      <c r="G71" s="27">
        <f t="shared" si="6"/>
        <v>-136.9608332691416</v>
      </c>
    </row>
    <row r="72" spans="2:15" ht="13.2" x14ac:dyDescent="0.25">
      <c r="B72" s="37">
        <v>46082</v>
      </c>
      <c r="C72" s="22">
        <f t="shared" si="2"/>
        <v>5000</v>
      </c>
      <c r="D72" s="22">
        <f t="shared" si="3"/>
        <v>3750</v>
      </c>
      <c r="E72" s="27">
        <f t="shared" si="4"/>
        <v>1250</v>
      </c>
      <c r="F72" s="22">
        <f t="shared" si="5"/>
        <v>-41308.254932791475</v>
      </c>
      <c r="G72" s="27">
        <f t="shared" si="6"/>
        <v>-146.30006955363649</v>
      </c>
    </row>
    <row r="73" spans="2:15" ht="13.2" x14ac:dyDescent="0.25">
      <c r="B73" s="37">
        <v>46113</v>
      </c>
      <c r="C73" s="22">
        <f t="shared" si="2"/>
        <v>5000</v>
      </c>
      <c r="D73" s="22">
        <f t="shared" si="3"/>
        <v>3750</v>
      </c>
      <c r="E73" s="27">
        <f t="shared" si="4"/>
        <v>1250</v>
      </c>
      <c r="F73" s="22">
        <f t="shared" si="5"/>
        <v>-43954.555002345114</v>
      </c>
      <c r="G73" s="27">
        <f t="shared" si="6"/>
        <v>-155.6723822999723</v>
      </c>
    </row>
    <row r="74" spans="2:15" ht="13.2" x14ac:dyDescent="0.25">
      <c r="B74" s="37">
        <v>46143</v>
      </c>
      <c r="C74" s="22">
        <f t="shared" si="2"/>
        <v>5000</v>
      </c>
      <c r="D74" s="22">
        <f t="shared" si="3"/>
        <v>3750</v>
      </c>
      <c r="E74" s="27">
        <f t="shared" si="4"/>
        <v>1250</v>
      </c>
      <c r="F74" s="22">
        <f t="shared" si="5"/>
        <v>-46610.227384645084</v>
      </c>
      <c r="G74" s="27">
        <f t="shared" si="6"/>
        <v>-165.07788865395136</v>
      </c>
    </row>
    <row r="75" spans="2:15" ht="13.2" x14ac:dyDescent="0.25">
      <c r="B75" s="37">
        <v>46174</v>
      </c>
      <c r="C75" s="22">
        <f t="shared" si="2"/>
        <v>5000</v>
      </c>
      <c r="D75" s="22">
        <f t="shared" si="3"/>
        <v>3750</v>
      </c>
      <c r="E75" s="27">
        <f t="shared" si="4"/>
        <v>1250</v>
      </c>
      <c r="F75" s="22">
        <f t="shared" si="5"/>
        <v>-49275.305273299033</v>
      </c>
      <c r="G75" s="27">
        <f t="shared" si="6"/>
        <v>-174.51670617626743</v>
      </c>
    </row>
    <row r="76" spans="2:15" ht="13.2" x14ac:dyDescent="0.25">
      <c r="B76" s="37">
        <v>46204</v>
      </c>
      <c r="C76" s="22">
        <f t="shared" si="2"/>
        <v>5000</v>
      </c>
      <c r="D76" s="22">
        <f t="shared" si="3"/>
        <v>3750</v>
      </c>
      <c r="E76" s="27">
        <f t="shared" si="4"/>
        <v>1250</v>
      </c>
      <c r="F76" s="22">
        <f t="shared" si="5"/>
        <v>-51949.821979475302</v>
      </c>
      <c r="G76" s="27">
        <f t="shared" si="6"/>
        <v>-183.98895284397506</v>
      </c>
    </row>
    <row r="77" spans="2:15" ht="13.2" x14ac:dyDescent="0.25">
      <c r="B77" s="37">
        <v>46235</v>
      </c>
      <c r="C77" s="22">
        <f t="shared" si="2"/>
        <v>5000</v>
      </c>
      <c r="D77" s="22">
        <f t="shared" si="3"/>
        <v>3750</v>
      </c>
      <c r="E77" s="27">
        <f t="shared" si="4"/>
        <v>1250</v>
      </c>
      <c r="F77" s="22">
        <f t="shared" si="5"/>
        <v>-54633.810932319277</v>
      </c>
      <c r="G77" s="27">
        <f t="shared" si="6"/>
        <v>-193.49474705196414</v>
      </c>
    </row>
    <row r="78" spans="2:15" ht="13.2" x14ac:dyDescent="0.25">
      <c r="B78" s="37">
        <v>46266</v>
      </c>
      <c r="C78" s="22">
        <f t="shared" si="2"/>
        <v>5000</v>
      </c>
      <c r="D78" s="22">
        <f t="shared" si="3"/>
        <v>3750</v>
      </c>
      <c r="E78" s="27">
        <f t="shared" si="4"/>
        <v>1250</v>
      </c>
      <c r="F78" s="22">
        <f t="shared" si="5"/>
        <v>-57327.305679371239</v>
      </c>
      <c r="G78" s="27">
        <f t="shared" si="6"/>
        <v>-203.03420761443979</v>
      </c>
    </row>
    <row r="79" spans="2:15" ht="13.2" x14ac:dyDescent="0.25">
      <c r="B79" s="37">
        <v>46296</v>
      </c>
      <c r="C79" s="22">
        <f t="shared" si="2"/>
        <v>5000</v>
      </c>
      <c r="D79" s="22">
        <f t="shared" si="3"/>
        <v>3750</v>
      </c>
      <c r="E79" s="27">
        <f t="shared" si="4"/>
        <v>1250</v>
      </c>
      <c r="F79" s="22">
        <f t="shared" si="5"/>
        <v>-60030.339886985676</v>
      </c>
      <c r="G79" s="27">
        <f t="shared" si="6"/>
        <v>-212.60745376640762</v>
      </c>
      <c r="O79" s="22"/>
    </row>
    <row r="80" spans="2:15" ht="13.2" x14ac:dyDescent="0.25">
      <c r="B80" s="37">
        <v>46327</v>
      </c>
      <c r="C80" s="22">
        <f t="shared" si="2"/>
        <v>5000</v>
      </c>
      <c r="D80" s="22">
        <f t="shared" si="3"/>
        <v>3750</v>
      </c>
      <c r="E80" s="27">
        <f t="shared" si="4"/>
        <v>1250</v>
      </c>
      <c r="F80" s="22">
        <f t="shared" si="5"/>
        <v>-62742.947340752085</v>
      </c>
      <c r="G80" s="27">
        <f t="shared" si="6"/>
        <v>-222.21460516516365</v>
      </c>
      <c r="O80" s="22"/>
    </row>
    <row r="81" spans="2:15" ht="13.2" x14ac:dyDescent="0.25">
      <c r="B81" s="39">
        <v>46357</v>
      </c>
      <c r="C81" s="40">
        <f t="shared" si="2"/>
        <v>5000</v>
      </c>
      <c r="D81" s="40">
        <f t="shared" si="3"/>
        <v>3750</v>
      </c>
      <c r="E81" s="41">
        <f t="shared" si="4"/>
        <v>1250</v>
      </c>
      <c r="F81" s="40">
        <f t="shared" si="5"/>
        <v>-65465.161945917251</v>
      </c>
      <c r="G81" s="41">
        <f t="shared" si="6"/>
        <v>-231.85578189179026</v>
      </c>
      <c r="O81" s="22"/>
    </row>
    <row r="82" spans="2:15" ht="13.2" x14ac:dyDescent="0.25">
      <c r="B82" s="37">
        <v>46388</v>
      </c>
      <c r="C82" s="42">
        <f t="shared" si="2"/>
        <v>5000</v>
      </c>
      <c r="D82" s="42">
        <f t="shared" si="3"/>
        <v>3750</v>
      </c>
      <c r="E82" s="27">
        <f t="shared" si="4"/>
        <v>1250</v>
      </c>
      <c r="F82" s="42">
        <f t="shared" si="5"/>
        <v>-68197.017727809041</v>
      </c>
      <c r="G82" s="43">
        <f t="shared" si="6"/>
        <v>-241.53110445265705</v>
      </c>
      <c r="O82" s="22"/>
    </row>
    <row r="83" spans="2:15" ht="13.2" x14ac:dyDescent="0.25">
      <c r="B83" s="37">
        <v>46419</v>
      </c>
      <c r="C83" s="22">
        <f t="shared" si="2"/>
        <v>5000</v>
      </c>
      <c r="D83" s="22">
        <f t="shared" si="3"/>
        <v>3750</v>
      </c>
      <c r="E83" s="27">
        <f t="shared" si="4"/>
        <v>1250</v>
      </c>
      <c r="F83" s="22">
        <f t="shared" si="5"/>
        <v>-70938.548832261702</v>
      </c>
      <c r="G83" s="27">
        <f t="shared" si="6"/>
        <v>-251.24069378092688</v>
      </c>
      <c r="O83" s="22"/>
    </row>
    <row r="84" spans="2:15" ht="13.2" x14ac:dyDescent="0.25">
      <c r="B84" s="37">
        <v>46447</v>
      </c>
      <c r="C84" s="22">
        <f t="shared" si="2"/>
        <v>5000</v>
      </c>
      <c r="D84" s="22">
        <f t="shared" si="3"/>
        <v>3750</v>
      </c>
      <c r="E84" s="27">
        <f t="shared" si="4"/>
        <v>1250</v>
      </c>
      <c r="F84" s="22">
        <f t="shared" si="5"/>
        <v>-73689.78952604263</v>
      </c>
      <c r="G84" s="27">
        <f t="shared" si="6"/>
        <v>-260.98467123806768</v>
      </c>
      <c r="O84" s="22"/>
    </row>
    <row r="85" spans="2:15" ht="13.2" x14ac:dyDescent="0.25">
      <c r="B85" s="37">
        <v>46478</v>
      </c>
      <c r="C85" s="22">
        <f t="shared" si="2"/>
        <v>5000</v>
      </c>
      <c r="D85" s="22">
        <f t="shared" si="3"/>
        <v>3750</v>
      </c>
      <c r="E85" s="27">
        <f t="shared" si="4"/>
        <v>1250</v>
      </c>
      <c r="F85" s="22">
        <f t="shared" si="5"/>
        <v>-76450.774197280698</v>
      </c>
      <c r="G85" s="27">
        <f t="shared" si="6"/>
        <v>-270.76315861536915</v>
      </c>
      <c r="O85" s="22"/>
    </row>
    <row r="86" spans="2:15" ht="13.2" x14ac:dyDescent="0.25">
      <c r="O86" s="22"/>
    </row>
    <row r="87" spans="2:15" ht="13.2" x14ac:dyDescent="0.25">
      <c r="O87" s="22"/>
    </row>
    <row r="88" spans="2:15" ht="13.2" x14ac:dyDescent="0.25">
      <c r="O88" s="22"/>
    </row>
    <row r="89" spans="2:15" ht="13.2" x14ac:dyDescent="0.25">
      <c r="O89" s="22"/>
    </row>
  </sheetData>
  <mergeCells count="14">
    <mergeCell ref="B20:B24"/>
    <mergeCell ref="B26:B28"/>
    <mergeCell ref="E32:E33"/>
    <mergeCell ref="B35:G35"/>
    <mergeCell ref="F17:F18"/>
    <mergeCell ref="C2:J2"/>
    <mergeCell ref="C13:K13"/>
    <mergeCell ref="D16:F16"/>
    <mergeCell ref="D17:E17"/>
    <mergeCell ref="G16:G18"/>
    <mergeCell ref="H16:H18"/>
    <mergeCell ref="I16:I18"/>
    <mergeCell ref="J16:J18"/>
    <mergeCell ref="K16:K18"/>
  </mergeCells>
  <conditionalFormatting sqref="J7:J8">
    <cfRule type="cellIs" dxfId="2" priority="1" operator="equal">
      <formula>"No"</formula>
    </cfRule>
  </conditionalFormatting>
  <conditionalFormatting sqref="J7:J8">
    <cfRule type="cellIs" dxfId="1" priority="2" operator="equal">
      <formula>"Yes"</formula>
    </cfRule>
  </conditionalFormatting>
  <conditionalFormatting sqref="F37:G85">
    <cfRule type="cellIs" dxfId="0" priority="3" operator="lessThanOrEqual">
      <formula>0</formula>
    </cfRule>
  </conditionalFormatting>
  <printOptions horizontalCentered="1" gridLines="1"/>
  <pageMargins left="0.25" right="0.25" top="0.75" bottom="0.75" header="0" footer="0"/>
  <pageSetup paperSize="9" fitToHeight="0" pageOrder="overThenDown" orientation="portrait" cellComments="atEnd"/>
  <ignoredErrors>
    <ignoredError sqref="G20:I30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Chinmay Shah</cp:lastModifiedBy>
  <dcterms:modified xsi:type="dcterms:W3CDTF">2021-12-04T01:44:35Z</dcterms:modified>
</cp:coreProperties>
</file>